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招标清单" sheetId="1" r:id="rId1"/>
    <sheet name="公区部位等" sheetId="2" r:id="rId2"/>
    <sheet name="地下车库" sheetId="3" r:id="rId3"/>
    <sheet name="外立面" sheetId="4" r:id="rId4"/>
    <sheet name="室外" sheetId="5" r:id="rId5"/>
  </sheets>
  <definedNames>
    <definedName name="_xlnm.Print_Area" localSheetId="0">招标清单!$A$1:$O$10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<sst xmlns="http://schemas.openxmlformats.org/spreadsheetml/2006/main" count="117" uniqueCount="93">
  <si>
    <r>
      <rPr>
        <b/>
        <sz val="16"/>
        <color theme="1"/>
        <rFont val="等线"/>
        <charset val="134"/>
        <scheme val="minor"/>
      </rPr>
      <t>红城投禧悦</t>
    </r>
    <r>
      <rPr>
        <b/>
        <sz val="16"/>
        <color theme="1"/>
        <rFont val="仿宋"/>
        <charset val="134"/>
      </rPr>
      <t>˙</t>
    </r>
    <r>
      <rPr>
        <b/>
        <sz val="16"/>
        <color theme="1"/>
        <rFont val="等线"/>
        <charset val="134"/>
        <scheme val="minor"/>
      </rPr>
      <t>雅云交付前保洁服务招标控制价</t>
    </r>
  </si>
  <si>
    <t>建议，工程量按图纸计算，招标时约定此工程量为上限封顶</t>
  </si>
  <si>
    <t>序号</t>
  </si>
  <si>
    <t>需求名称</t>
  </si>
  <si>
    <t>需求内容</t>
  </si>
  <si>
    <t>单位</t>
  </si>
  <si>
    <t>工程量</t>
  </si>
  <si>
    <t>第二批工程量（剩余楼栋）</t>
  </si>
  <si>
    <t>复核工程量</t>
  </si>
  <si>
    <t>计算范围</t>
  </si>
  <si>
    <t>计算规则</t>
  </si>
  <si>
    <t>总工程量</t>
  </si>
  <si>
    <t>含税单价
（元）</t>
  </si>
  <si>
    <t>合计（元）</t>
  </si>
  <si>
    <t>备注</t>
  </si>
  <si>
    <t>公区部位等</t>
  </si>
  <si>
    <t>1.精装及毛坯公共保洁部位：含架空层、公共走道、电梯前室、楼梯前室及楼梯、地上大堂、归家大堂、电梯轿厢、入户大堂屋面、屋面、售楼部各单体、小区三个大门及入户门等墙面、地面及天棚；
2.清洁方式、用品等综合考虑；
3.满足招标文件“精装开荒服务”要求。</t>
  </si>
  <si>
    <t>m2</t>
  </si>
  <si>
    <t>含架空层、公共走道、电梯前室、楼梯前室及楼梯、电梯井、连廊</t>
  </si>
  <si>
    <t>按建筑面积计算规则计算</t>
  </si>
  <si>
    <t xml:space="preserve">1、本次交付公区需保洁楼栋1#、8#、12#、13#、15#~22#、大门ABC、S1#~S4#。
2、计算范围：架空层、公共走道、电梯前室、楼梯前室及楼梯、电梯井及连廊。
3、计算规则：只计取计算范围内容中的建筑面积（均按内墙内边线计取），其余需清洁部位不再单独计算，已综合考虑。
</t>
  </si>
  <si>
    <t>建议让咨询计算一下</t>
  </si>
  <si>
    <t>按实际保洁公区建筑面积</t>
  </si>
  <si>
    <t>地下车库</t>
  </si>
  <si>
    <t>1.地下车库保洁部位（含大堂、落客区、停车位、行车道及设备用房等墙面、地面及天棚）；
2.清洁方式、用品等综合考虑；
3.满足招标文件“精装开荒服务”要求。</t>
  </si>
  <si>
    <t>地下室</t>
  </si>
  <si>
    <t>以地下室工规证总建面为准</t>
  </si>
  <si>
    <t>按地下室建筑面积</t>
  </si>
  <si>
    <t>外立面</t>
  </si>
  <si>
    <t xml:space="preserve">
1.外立面保洁部位：含所有单体楼栋的外立面外面固定窗、防火窗、及平开窗（凸窗）、单元门、百叶、玻璃、阳台栏杆、铝单板、雨蓬、外立面石材(含大门）、幕墙、不锈钢装饰、屋面檐口铝板、屋面窗花、屋面格栅等；
2.清洁方式、用品等综合考虑；
3.满足招标文件“精装开荒服务”要求；
4.必须使用清水，不得破坏绿化。</t>
  </si>
  <si>
    <t>入户门，外墙固定窗，外墙平开窗，外墙防火窗，单元门，百叶窗，屋面格栅</t>
  </si>
  <si>
    <t>入户门，外墙固定窗，外墙平开窗，外墙防火窗，单元门，百叶窗，屋面格栅按洞口面积计算</t>
  </si>
  <si>
    <t>1、本次交付公区需保洁楼栋1#、8#、12#、13#、15#~22#、大门ABC、S1#~S4#。
2、计算范围：外墙固定窗，外墙平开窗（凸窗），外墙防火窗，单元门，百叶窗，屋面格栅。
3、计算规则：外墙固定窗，外墙平开窗（凸窗），外墙防火窗，单元门，百叶窗及屋面格栅均按洞口面积计算，其余需清洁部位不再单独计算，已综合考虑。</t>
  </si>
  <si>
    <t>按门窗面积</t>
  </si>
  <si>
    <t>室外</t>
  </si>
  <si>
    <t>1.包括但不限于广场地面、各种灯具、各类广告灯箱、服务亭、各种标识、成品座椅、背景音 乐喇叭、垃圾桶、绿地、花池、树池、水景观、小品及旗杆、窨井盖、雨水井盖、各种配套设施、分区规划道路（项目红线内）、小区围墙栏杆、文体中心、幼儿园、商铺及商铺临街垃圾清扫等。
2.清洁方式、用品等综合考虑；
3.满足招标文件“精装开荒服务”要求；
4.必须使用清水，不得破坏绿化。</t>
  </si>
  <si>
    <t>地材实际铺贴面积及沥青道路面积计算</t>
  </si>
  <si>
    <t>地面面积</t>
  </si>
  <si>
    <t>1、计算范围：只计取地材实际铺贴面积及沥青道路面积，其余需清洁部位不再单独计算，已综合考虑。
2、计算规则：地材实际铺贴及沥青道路按面积计取。</t>
  </si>
  <si>
    <t>按规划用地面积扣除建筑占地面积</t>
  </si>
  <si>
    <t>含税合计</t>
  </si>
  <si>
    <t>备注：</t>
  </si>
  <si>
    <t>1、上述含税单价包括同一部位多次清洁、垃圾清运、人工费、材料费、清洗措施、高空作业费、吊篮费、材料费、机械费、管理费、利润、规费及不可预见费等；
2、需求名称、需求内容由需求部门确定，工程量由需求部门暂估，最终付款按实际发生工程量及上述计算规则、范围进行计取。</t>
  </si>
  <si>
    <t>需求部门：</t>
  </si>
  <si>
    <t>编制人：</t>
  </si>
  <si>
    <t>审核人：</t>
  </si>
  <si>
    <t>架空层</t>
  </si>
  <si>
    <t>百叶窗</t>
  </si>
  <si>
    <t>外墙涂料（外立面）</t>
  </si>
  <si>
    <t>园路</t>
  </si>
  <si>
    <t>幕墙</t>
  </si>
  <si>
    <t>外墙涂料（女儿墙内侧及阳台、空调机位等）</t>
  </si>
  <si>
    <t>篮球场</t>
  </si>
  <si>
    <t>窗</t>
  </si>
  <si>
    <t>外墙石材</t>
  </si>
  <si>
    <t>儿童活动</t>
  </si>
  <si>
    <t>沥青道路</t>
  </si>
  <si>
    <t>1、本次交付公区需保洁楼栋1#、8#、12#、13#、15#~22#、大门ABC、S1#~S4#</t>
  </si>
  <si>
    <t>1~27公区</t>
  </si>
  <si>
    <t>合计</t>
  </si>
  <si>
    <t>1#</t>
  </si>
  <si>
    <t>架空层及工区</t>
  </si>
  <si>
    <t>2~24</t>
  </si>
  <si>
    <t>8#</t>
  </si>
  <si>
    <t>1层</t>
  </si>
  <si>
    <t>2~8层</t>
  </si>
  <si>
    <t>12#</t>
  </si>
  <si>
    <t>13#</t>
  </si>
  <si>
    <t>15#</t>
  </si>
  <si>
    <t>16#、21#</t>
  </si>
  <si>
    <t>17#、20#</t>
  </si>
  <si>
    <t>18#</t>
  </si>
  <si>
    <t>19#</t>
  </si>
  <si>
    <t>22#</t>
  </si>
  <si>
    <t>大门ABC</t>
  </si>
  <si>
    <t>S1</t>
  </si>
  <si>
    <t>S2</t>
  </si>
  <si>
    <t>S3+S4</t>
  </si>
  <si>
    <t>S1#~S4#</t>
  </si>
  <si>
    <t>总计</t>
  </si>
  <si>
    <t>最终只按门窗洞口面积及百叶投影面积计算，其余需清洁部位不单独再计算单价，已综合考虑在门窗和百叶单价中。</t>
  </si>
  <si>
    <t>入户门</t>
  </si>
  <si>
    <t>铝合金推拉玻璃门</t>
  </si>
  <si>
    <t>铝合金固定窗</t>
  </si>
  <si>
    <t>铝合金平开玻璃窗</t>
  </si>
  <si>
    <t>防火窗</t>
  </si>
  <si>
    <t>电子对讲门</t>
  </si>
  <si>
    <t>格栅</t>
  </si>
  <si>
    <t>最终按大区地材实际铺贴面积及沥青道路面积计算，其余需清洁部位不单独再计算单价，已综合考虑在单价中。</t>
  </si>
  <si>
    <t>沥青</t>
  </si>
  <si>
    <t>铺装</t>
  </si>
  <si>
    <t>A区</t>
  </si>
  <si>
    <t>B区/幼儿园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</si>
</sst>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.00_ "/>
    <numFmt numFmtId="178" formatCode="0.00_);\(0.00\)"/>
  </numFmts>
  <fonts count="32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等线"/>
      <charset val="134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b/>
      <sz val="16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176" fontId="29" fillId="0" borderId="0"/>
    <xf numFmtId="0" fontId="3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51" applyFont="1" applyAlignment="1">
      <alignment horizontal="left" vertical="center" wrapText="1"/>
    </xf>
    <xf numFmtId="0" fontId="7" fillId="0" borderId="0" xfId="5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51" applyFont="1" applyAlignment="1">
      <alignment vertical="center"/>
    </xf>
    <xf numFmtId="0" fontId="8" fillId="0" borderId="0" xfId="51" applyFont="1" applyAlignment="1">
      <alignment horizontal="center" vertical="center" wrapText="1"/>
    </xf>
    <xf numFmtId="0" fontId="8" fillId="0" borderId="0" xfId="5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43" fontId="6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0" xfId="51" applyFont="1" applyAlignment="1">
      <alignment vertical="center" wrapText="1"/>
    </xf>
    <xf numFmtId="1" fontId="0" fillId="0" borderId="0" xfId="0" applyNumberForma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 2 2" xfId="50"/>
    <cellStyle name="常规_泰州—室外市政及附属工程综合单价表(调08年6月终版送出)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221615</xdr:colOff>
      <xdr:row>3</xdr:row>
      <xdr:rowOff>78740</xdr:rowOff>
    </xdr:from>
    <xdr:to>
      <xdr:col>7</xdr:col>
      <xdr:colOff>1196340</xdr:colOff>
      <xdr:row>4</xdr:row>
      <xdr:rowOff>279400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03365" y="770890"/>
          <a:ext cx="974725" cy="53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2533015</xdr:colOff>
      <xdr:row>2</xdr:row>
      <xdr:rowOff>274320</xdr:rowOff>
    </xdr:from>
    <xdr:to>
      <xdr:col>8</xdr:col>
      <xdr:colOff>895985</xdr:colOff>
      <xdr:row>4</xdr:row>
      <xdr:rowOff>292100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14765" y="636270"/>
          <a:ext cx="991870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520065</xdr:colOff>
      <xdr:row>4</xdr:row>
      <xdr:rowOff>324485</xdr:rowOff>
    </xdr:from>
    <xdr:to>
      <xdr:col>8</xdr:col>
      <xdr:colOff>1898650</xdr:colOff>
      <xdr:row>7</xdr:row>
      <xdr:rowOff>146050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30715" y="1346835"/>
          <a:ext cx="1378585" cy="812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185420</xdr:colOff>
      <xdr:row>4</xdr:row>
      <xdr:rowOff>317500</xdr:rowOff>
    </xdr:from>
    <xdr:to>
      <xdr:col>7</xdr:col>
      <xdr:colOff>1885950</xdr:colOff>
      <xdr:row>7</xdr:row>
      <xdr:rowOff>12700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67170" y="1339850"/>
          <a:ext cx="1700530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506730</xdr:colOff>
      <xdr:row>5</xdr:row>
      <xdr:rowOff>132080</xdr:rowOff>
    </xdr:from>
    <xdr:to>
      <xdr:col>11</xdr:col>
      <xdr:colOff>2520950</xdr:colOff>
      <xdr:row>7</xdr:row>
      <xdr:rowOff>234950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404080" y="1484630"/>
          <a:ext cx="201422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162560</xdr:colOff>
      <xdr:row>8</xdr:row>
      <xdr:rowOff>221615</xdr:rowOff>
    </xdr:from>
    <xdr:to>
      <xdr:col>7</xdr:col>
      <xdr:colOff>1752600</xdr:colOff>
      <xdr:row>8</xdr:row>
      <xdr:rowOff>1187450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544310" y="2564765"/>
          <a:ext cx="1590040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2558415</xdr:colOff>
      <xdr:row>8</xdr:row>
      <xdr:rowOff>321310</xdr:rowOff>
    </xdr:from>
    <xdr:to>
      <xdr:col>9</xdr:col>
      <xdr:colOff>279400</xdr:colOff>
      <xdr:row>8</xdr:row>
      <xdr:rowOff>1117600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940165" y="2664460"/>
          <a:ext cx="2978785" cy="796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250190</xdr:colOff>
      <xdr:row>10</xdr:row>
      <xdr:rowOff>14605</xdr:rowOff>
    </xdr:from>
    <xdr:to>
      <xdr:col>7</xdr:col>
      <xdr:colOff>2101850</xdr:colOff>
      <xdr:row>10</xdr:row>
      <xdr:rowOff>1162050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631940" y="4948555"/>
          <a:ext cx="1851660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2597150</xdr:colOff>
      <xdr:row>10</xdr:row>
      <xdr:rowOff>215900</xdr:rowOff>
    </xdr:from>
    <xdr:to>
      <xdr:col>9</xdr:col>
      <xdr:colOff>318135</xdr:colOff>
      <xdr:row>10</xdr:row>
      <xdr:rowOff>1012190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978900" y="5149850"/>
          <a:ext cx="2978785" cy="796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619125</xdr:colOff>
      <xdr:row>13</xdr:row>
      <xdr:rowOff>193040</xdr:rowOff>
    </xdr:from>
    <xdr:to>
      <xdr:col>7</xdr:col>
      <xdr:colOff>2317750</xdr:colOff>
      <xdr:row>16</xdr:row>
      <xdr:rowOff>133350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000875" y="6968490"/>
          <a:ext cx="169862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2378710</xdr:colOff>
      <xdr:row>13</xdr:row>
      <xdr:rowOff>287655</xdr:rowOff>
    </xdr:from>
    <xdr:to>
      <xdr:col>8</xdr:col>
      <xdr:colOff>1905000</xdr:colOff>
      <xdr:row>17</xdr:row>
      <xdr:rowOff>120650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760460" y="7063105"/>
          <a:ext cx="2155190" cy="1153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1733550</xdr:colOff>
      <xdr:row>17</xdr:row>
      <xdr:rowOff>234950</xdr:rowOff>
    </xdr:from>
    <xdr:to>
      <xdr:col>8</xdr:col>
      <xdr:colOff>1096645</xdr:colOff>
      <xdr:row>22</xdr:row>
      <xdr:rowOff>107950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 flipH="1">
          <a:off x="8115300" y="8331200"/>
          <a:ext cx="1991995" cy="1365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0</xdr:row>
      <xdr:rowOff>6350</xdr:rowOff>
    </xdr:from>
    <xdr:to>
      <xdr:col>12</xdr:col>
      <xdr:colOff>499745</xdr:colOff>
      <xdr:row>30</xdr:row>
      <xdr:rowOff>13970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6350"/>
          <a:ext cx="8418195" cy="5436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906145</xdr:colOff>
      <xdr:row>12</xdr:row>
      <xdr:rowOff>118110</xdr:rowOff>
    </xdr:from>
    <xdr:to>
      <xdr:col>12</xdr:col>
      <xdr:colOff>311150</xdr:colOff>
      <xdr:row>20</xdr:row>
      <xdr:rowOff>69850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0245" y="2807335"/>
          <a:ext cx="2249805" cy="1399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412750</xdr:colOff>
      <xdr:row>10</xdr:row>
      <xdr:rowOff>161925</xdr:rowOff>
    </xdr:from>
    <xdr:to>
      <xdr:col>18</xdr:col>
      <xdr:colOff>247650</xdr:colOff>
      <xdr:row>23</xdr:row>
      <xdr:rowOff>149225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33550" y="1971675"/>
          <a:ext cx="12725400" cy="2857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0"/>
  <sheetViews>
    <sheetView tabSelected="1" view="pageBreakPreview" zoomScaleNormal="100" topLeftCell="B1" workbookViewId="0">
      <selection activeCell="P4" sqref="P4"/>
    </sheetView>
  </sheetViews>
  <sheetFormatPr defaultColWidth="8.91666666666667" defaultRowHeight="14.25"/>
  <cols>
    <col min="1" max="1" width="5.66666666666667" style="5" customWidth="1"/>
    <col min="2" max="2" width="24.4166666666667" style="5" customWidth="1"/>
    <col min="3" max="3" width="48" style="5" customWidth="1"/>
    <col min="4" max="4" width="8.58333333333333" style="5" customWidth="1"/>
    <col min="5" max="5" width="18.5" style="5" customWidth="1"/>
    <col min="6" max="7" width="14.8333333333333" style="5" hidden="1" customWidth="1"/>
    <col min="8" max="8" width="29.4166666666667" style="5" hidden="1" customWidth="1"/>
    <col min="9" max="10" width="14.8333333333333" style="5" hidden="1" customWidth="1"/>
    <col min="11" max="11" width="16" style="5" customWidth="1"/>
    <col min="12" max="12" width="15.6666666666667" style="5" customWidth="1"/>
    <col min="13" max="13" width="31.8333333333333" style="5" customWidth="1"/>
    <col min="14" max="14" width="34.8333333333333" style="5" hidden="1" customWidth="1"/>
    <col min="15" max="15" width="31" style="5" hidden="1" customWidth="1"/>
    <col min="16" max="16" width="12.5833333333333" style="5"/>
    <col min="17" max="16384" width="8.91666666666667" style="5"/>
  </cols>
  <sheetData>
    <row r="1" ht="44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34" t="s">
        <v>1</v>
      </c>
      <c r="O1" s="34"/>
    </row>
    <row r="2" s="7" customFormat="1" ht="45" customHeight="1" spans="1:15">
      <c r="A2" s="11" t="s">
        <v>2</v>
      </c>
      <c r="B2" s="11" t="s">
        <v>3</v>
      </c>
      <c r="C2" s="11" t="s">
        <v>4</v>
      </c>
      <c r="D2" s="11" t="s">
        <v>5</v>
      </c>
      <c r="E2" s="12" t="s">
        <v>6</v>
      </c>
      <c r="F2" s="13" t="s">
        <v>7</v>
      </c>
      <c r="G2" s="12" t="s">
        <v>8</v>
      </c>
      <c r="H2" s="12" t="s">
        <v>9</v>
      </c>
      <c r="I2" s="12" t="s">
        <v>10</v>
      </c>
      <c r="J2" s="14" t="s">
        <v>11</v>
      </c>
      <c r="K2" s="14" t="s">
        <v>12</v>
      </c>
      <c r="L2" s="11" t="s">
        <v>13</v>
      </c>
      <c r="M2" s="11" t="s">
        <v>14</v>
      </c>
      <c r="N2" s="7" t="s">
        <v>6</v>
      </c>
      <c r="O2" s="7" t="s">
        <v>10</v>
      </c>
    </row>
    <row r="3" s="7" customFormat="1" ht="126" customHeight="1" spans="1:15">
      <c r="A3" s="11">
        <v>1</v>
      </c>
      <c r="B3" s="14" t="s">
        <v>15</v>
      </c>
      <c r="C3" s="15" t="s">
        <v>16</v>
      </c>
      <c r="D3" s="11" t="s">
        <v>17</v>
      </c>
      <c r="E3" s="16">
        <f>公区部位等!G20</f>
        <v>14621.55</v>
      </c>
      <c r="F3" s="17">
        <v>22316.4</v>
      </c>
      <c r="G3" s="18">
        <f>公区部位等!G20</f>
        <v>14621.55</v>
      </c>
      <c r="H3" s="19" t="s">
        <v>18</v>
      </c>
      <c r="I3" s="12" t="s">
        <v>19</v>
      </c>
      <c r="J3" s="11">
        <v>34654.9</v>
      </c>
      <c r="K3" s="35">
        <v>3.5</v>
      </c>
      <c r="L3" s="36">
        <f>E3*K3</f>
        <v>51175.425</v>
      </c>
      <c r="M3" s="19" t="s">
        <v>20</v>
      </c>
      <c r="N3" s="7" t="s">
        <v>21</v>
      </c>
      <c r="O3" s="37" t="s">
        <v>22</v>
      </c>
    </row>
    <row r="4" s="7" customFormat="1" ht="73" customHeight="1" spans="1:15">
      <c r="A4" s="11">
        <v>2</v>
      </c>
      <c r="B4" s="11" t="s">
        <v>23</v>
      </c>
      <c r="C4" s="15" t="s">
        <v>24</v>
      </c>
      <c r="D4" s="11" t="s">
        <v>17</v>
      </c>
      <c r="E4" s="18">
        <v>48861.71</v>
      </c>
      <c r="F4" s="17">
        <v>0</v>
      </c>
      <c r="G4" s="18">
        <f>地下车库!P11</f>
        <v>48861.71</v>
      </c>
      <c r="H4" s="18" t="s">
        <v>25</v>
      </c>
      <c r="I4" s="12" t="s">
        <v>26</v>
      </c>
      <c r="J4" s="11">
        <v>48861.71</v>
      </c>
      <c r="K4" s="35">
        <v>1.5</v>
      </c>
      <c r="L4" s="36">
        <f>E4*K4</f>
        <v>73292.565</v>
      </c>
      <c r="M4" s="12" t="s">
        <v>26</v>
      </c>
      <c r="O4" s="37" t="s">
        <v>27</v>
      </c>
    </row>
    <row r="5" s="7" customFormat="1" ht="138" customHeight="1" spans="1:15">
      <c r="A5" s="11">
        <v>3</v>
      </c>
      <c r="B5" s="14" t="s">
        <v>28</v>
      </c>
      <c r="C5" s="15" t="s">
        <v>29</v>
      </c>
      <c r="D5" s="11" t="s">
        <v>17</v>
      </c>
      <c r="E5" s="20">
        <f>外立面!K17</f>
        <v>16813.355</v>
      </c>
      <c r="F5" s="17">
        <v>21906.3</v>
      </c>
      <c r="G5" s="18">
        <f>外立面!K17</f>
        <v>16813.355</v>
      </c>
      <c r="H5" s="12" t="s">
        <v>30</v>
      </c>
      <c r="I5" s="12" t="s">
        <v>31</v>
      </c>
      <c r="J5" s="11">
        <v>38772.9</v>
      </c>
      <c r="K5" s="35">
        <v>6</v>
      </c>
      <c r="L5" s="36">
        <f>E5*K5</f>
        <v>100880.13</v>
      </c>
      <c r="M5" s="19" t="s">
        <v>32</v>
      </c>
      <c r="O5" s="37" t="s">
        <v>33</v>
      </c>
    </row>
    <row r="6" s="7" customFormat="1" ht="115" customHeight="1" spans="1:15">
      <c r="A6" s="11">
        <v>4</v>
      </c>
      <c r="B6" s="21" t="s">
        <v>34</v>
      </c>
      <c r="C6" s="22" t="s">
        <v>35</v>
      </c>
      <c r="D6" s="11" t="s">
        <v>17</v>
      </c>
      <c r="E6" s="23">
        <v>26797.3</v>
      </c>
      <c r="F6" s="24">
        <v>0</v>
      </c>
      <c r="G6" s="23">
        <f>室外!K19</f>
        <v>24927.971</v>
      </c>
      <c r="H6" s="25" t="s">
        <v>36</v>
      </c>
      <c r="I6" s="23" t="s">
        <v>37</v>
      </c>
      <c r="J6" s="38">
        <v>26797.3</v>
      </c>
      <c r="K6" s="35">
        <v>3</v>
      </c>
      <c r="L6" s="36">
        <f>E6*K6</f>
        <v>80391.9</v>
      </c>
      <c r="M6" s="39" t="s">
        <v>38</v>
      </c>
      <c r="O6" s="37" t="s">
        <v>39</v>
      </c>
    </row>
    <row r="7" s="8" customFormat="1" ht="43" customHeight="1" spans="1:13">
      <c r="A7" s="26" t="s">
        <v>40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>
        <f>SUM(L3:L6)</f>
        <v>305740.02</v>
      </c>
      <c r="M7" s="40"/>
    </row>
    <row r="8" s="9" customFormat="1" ht="46" customHeight="1" spans="1:14">
      <c r="A8" s="27" t="s">
        <v>41</v>
      </c>
      <c r="B8" s="28" t="s">
        <v>42</v>
      </c>
      <c r="C8" s="28"/>
      <c r="D8" s="28"/>
      <c r="E8" s="29"/>
      <c r="F8" s="29"/>
      <c r="G8" s="29"/>
      <c r="H8" s="29"/>
      <c r="I8" s="29"/>
      <c r="J8" s="29"/>
      <c r="K8" s="29"/>
      <c r="L8" s="29"/>
      <c r="M8" s="28"/>
      <c r="N8" s="41"/>
    </row>
    <row r="9" ht="35" customHeight="1" spans="1:14">
      <c r="A9" s="30"/>
      <c r="B9" s="31" t="s">
        <v>43</v>
      </c>
      <c r="C9" s="32" t="s">
        <v>44</v>
      </c>
      <c r="D9" s="33"/>
      <c r="E9" s="32"/>
      <c r="F9" s="32"/>
      <c r="G9" s="32"/>
      <c r="H9" s="32"/>
      <c r="I9" s="32"/>
      <c r="J9" s="32"/>
      <c r="K9" s="32" t="s">
        <v>45</v>
      </c>
      <c r="L9" s="32"/>
      <c r="M9" s="33"/>
      <c r="N9" s="33"/>
    </row>
    <row r="10" spans="11:11">
      <c r="K10" s="42"/>
    </row>
    <row r="11" ht="28.5" hidden="1" spans="2:15">
      <c r="B11" s="5" t="s">
        <v>46</v>
      </c>
      <c r="C11" s="5">
        <v>3448.97</v>
      </c>
      <c r="D11" s="5" t="s">
        <v>47</v>
      </c>
      <c r="E11" s="5">
        <v>1201.305</v>
      </c>
      <c r="K11" s="42"/>
      <c r="L11" s="34" t="s">
        <v>48</v>
      </c>
      <c r="M11" s="5">
        <v>78342.855</v>
      </c>
      <c r="O11" s="5">
        <f>5.7*35%-4.7</f>
        <v>-2.705</v>
      </c>
    </row>
    <row r="12" ht="42.75" hidden="1" spans="2:13">
      <c r="B12" s="5" t="s">
        <v>49</v>
      </c>
      <c r="C12" s="5">
        <f>34135.54-1576.92-4261.84-965.06-2811.06-3359.49-1721.37*2-765.4*2-2412.79+3625.29+365.55+551.79+249.35</f>
        <v>18566.82</v>
      </c>
      <c r="D12" s="5" t="s">
        <v>50</v>
      </c>
      <c r="E12" s="5">
        <v>230.46</v>
      </c>
      <c r="K12" s="42"/>
      <c r="L12" s="34" t="s">
        <v>51</v>
      </c>
      <c r="M12" s="6">
        <v>39105.836</v>
      </c>
    </row>
    <row r="13" ht="33" hidden="1" customHeight="1" spans="2:13">
      <c r="B13" s="5" t="s">
        <v>52</v>
      </c>
      <c r="C13" s="5">
        <v>328.12</v>
      </c>
      <c r="D13" s="5" t="s">
        <v>53</v>
      </c>
      <c r="E13" s="5">
        <f>1076.38+1076.38+514.59+1214.88+1335.335+759.15+759.15+1441.2+1441.92+1441.92+1441.92+1441.92+1441.92+1.65</f>
        <v>15388.315</v>
      </c>
      <c r="K13" s="42"/>
      <c r="L13" s="5" t="s">
        <v>54</v>
      </c>
      <c r="M13" s="5">
        <v>9254.867</v>
      </c>
    </row>
    <row r="14" hidden="1" spans="2:13">
      <c r="B14" s="5" t="s">
        <v>55</v>
      </c>
      <c r="C14" s="5">
        <v>1189.36</v>
      </c>
      <c r="E14" s="5">
        <f>SUM(E11:E13)</f>
        <v>16820.08</v>
      </c>
      <c r="K14" s="42"/>
      <c r="M14" s="5">
        <f>SUM(M11:M13)</f>
        <v>126703.558</v>
      </c>
    </row>
    <row r="15" hidden="1" spans="2:11">
      <c r="B15" s="5" t="s">
        <v>56</v>
      </c>
      <c r="C15" s="5">
        <v>999.8</v>
      </c>
      <c r="K15" s="42"/>
    </row>
    <row r="16" spans="11:11">
      <c r="K16" s="42"/>
    </row>
    <row r="17" spans="11:11">
      <c r="K17" s="42"/>
    </row>
    <row r="19" spans="2:2">
      <c r="B19" s="5">
        <f>15072.487-93.581-18.176-6.517-25.792</f>
        <v>14928.421</v>
      </c>
    </row>
    <row r="20" spans="3:3">
      <c r="C20" s="5">
        <f>34135.54-1576.92-4261.84-965.06-2811.06-3359.49-1721.37*2-765.4*2-2412.79+3625.29+365.55+551.79+249.35</f>
        <v>18566.82</v>
      </c>
    </row>
  </sheetData>
  <mergeCells count="4">
    <mergeCell ref="A1:M1"/>
    <mergeCell ref="N1:O1"/>
    <mergeCell ref="A7:B7"/>
    <mergeCell ref="B8:M8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3:G20"/>
  <sheetViews>
    <sheetView topLeftCell="B1" workbookViewId="0">
      <selection activeCell="G20" sqref="G20"/>
    </sheetView>
  </sheetViews>
  <sheetFormatPr defaultColWidth="8.66666666666667" defaultRowHeight="14.25" outlineLevelCol="6"/>
  <cols>
    <col min="4" max="4" width="31" customWidth="1"/>
    <col min="7" max="7" width="9.41666666666667"/>
    <col min="8" max="14" width="34.5" customWidth="1"/>
  </cols>
  <sheetData>
    <row r="3" ht="26" customHeight="1" spans="4:4">
      <c r="D3" t="s">
        <v>57</v>
      </c>
    </row>
    <row r="4" ht="26" customHeight="1" spans="4:7">
      <c r="D4" t="s">
        <v>58</v>
      </c>
      <c r="G4" t="s">
        <v>59</v>
      </c>
    </row>
    <row r="5" ht="26" customHeight="1" spans="3:7">
      <c r="C5" s="5" t="s">
        <v>60</v>
      </c>
      <c r="D5" s="5">
        <f>(305.05+3.2-80.11-73.1-80.11)*27</f>
        <v>2023.11</v>
      </c>
      <c r="E5" s="5"/>
      <c r="G5" s="5">
        <f>D5+E5</f>
        <v>2023.11</v>
      </c>
    </row>
    <row r="6" ht="26" customHeight="1" spans="3:7">
      <c r="C6" s="5"/>
      <c r="D6" s="5" t="s">
        <v>61</v>
      </c>
      <c r="E6" s="5" t="s">
        <v>62</v>
      </c>
      <c r="F6" s="5"/>
      <c r="G6" s="5" t="s">
        <v>59</v>
      </c>
    </row>
    <row r="7" ht="26" customHeight="1" spans="3:7">
      <c r="C7" s="5" t="s">
        <v>63</v>
      </c>
      <c r="D7" s="6">
        <f>(69.2+235.51+33.01+14.13)*2</f>
        <v>703.7</v>
      </c>
      <c r="E7" s="5">
        <f>(16.835+63.31+6.4/2)*2*23</f>
        <v>3833.87</v>
      </c>
      <c r="F7" s="5"/>
      <c r="G7" s="5">
        <f t="shared" ref="G7:G11" si="0">E7+F7+D7</f>
        <v>4537.57</v>
      </c>
    </row>
    <row r="8" ht="26" customHeight="1" spans="3:7">
      <c r="C8" s="5"/>
      <c r="D8" s="6" t="s">
        <v>64</v>
      </c>
      <c r="E8" s="5" t="s">
        <v>65</v>
      </c>
      <c r="F8" s="5"/>
      <c r="G8" s="5" t="s">
        <v>59</v>
      </c>
    </row>
    <row r="9" ht="102" customHeight="1" spans="3:7">
      <c r="C9" s="5" t="s">
        <v>66</v>
      </c>
      <c r="D9" s="5">
        <f>(268.01-111.57*2+2.8*2)*2</f>
        <v>100.94</v>
      </c>
      <c r="E9" s="5">
        <f>(266.5-111.57*2+2.8*2)*2*7</f>
        <v>685.44</v>
      </c>
      <c r="F9" s="5">
        <v>0</v>
      </c>
      <c r="G9" s="5">
        <f t="shared" si="0"/>
        <v>786.38</v>
      </c>
    </row>
    <row r="10" ht="102" customHeight="1" spans="3:7">
      <c r="C10" s="5" t="s">
        <v>67</v>
      </c>
      <c r="D10" s="6">
        <f>268.01-111.57-95.4</f>
        <v>61.04</v>
      </c>
      <c r="E10" s="5">
        <f>(266.5-111.57*2)*7</f>
        <v>303.52</v>
      </c>
      <c r="F10" s="5"/>
      <c r="G10" s="5">
        <f t="shared" si="0"/>
        <v>364.56</v>
      </c>
    </row>
    <row r="11" ht="93" customHeight="1" spans="3:7">
      <c r="C11" s="5" t="s">
        <v>68</v>
      </c>
      <c r="D11" s="5">
        <f t="shared" ref="D11:D16" si="1">(61.4+1.33*2)*2</f>
        <v>128.12</v>
      </c>
      <c r="E11" s="5">
        <f t="shared" ref="E11:E16" si="2">(266.5-111.57*2+2.8*2)*2*7</f>
        <v>685.44</v>
      </c>
      <c r="F11" s="5"/>
      <c r="G11" s="5">
        <f t="shared" si="0"/>
        <v>813.56</v>
      </c>
    </row>
    <row r="12" ht="26" customHeight="1" spans="3:7">
      <c r="C12" t="s">
        <v>69</v>
      </c>
      <c r="D12" s="5">
        <f t="shared" si="1"/>
        <v>128.12</v>
      </c>
      <c r="E12" s="5">
        <f t="shared" si="2"/>
        <v>685.44</v>
      </c>
      <c r="G12" s="5">
        <f>(E12+F12+D12)*2</f>
        <v>1627.12</v>
      </c>
    </row>
    <row r="13" ht="26" customHeight="1" spans="3:7">
      <c r="C13" t="s">
        <v>70</v>
      </c>
      <c r="D13">
        <f>(61.4+1.33*2)+(61.77)</f>
        <v>125.83</v>
      </c>
      <c r="E13">
        <f>(42.56+26.93)+(266.5-111.57*2+2.8*2)*2*6</f>
        <v>657.01</v>
      </c>
      <c r="G13" s="5">
        <f>(E13+F13+D13)*2</f>
        <v>1565.68</v>
      </c>
    </row>
    <row r="14" ht="26" customHeight="1" spans="3:7">
      <c r="C14" t="s">
        <v>71</v>
      </c>
      <c r="D14">
        <f t="shared" si="1"/>
        <v>128.12</v>
      </c>
      <c r="E14">
        <f t="shared" si="2"/>
        <v>685.44</v>
      </c>
      <c r="G14" s="5">
        <f t="shared" ref="G14:G17" si="3">E14+F14+D14</f>
        <v>813.56</v>
      </c>
    </row>
    <row r="15" ht="26" customHeight="1" spans="3:7">
      <c r="C15" t="s">
        <v>72</v>
      </c>
      <c r="D15">
        <f t="shared" si="1"/>
        <v>128.12</v>
      </c>
      <c r="E15">
        <f t="shared" si="2"/>
        <v>685.44</v>
      </c>
      <c r="G15" s="5">
        <f t="shared" si="3"/>
        <v>813.56</v>
      </c>
    </row>
    <row r="16" ht="26" customHeight="1" spans="3:7">
      <c r="C16" t="s">
        <v>73</v>
      </c>
      <c r="D16">
        <f t="shared" si="1"/>
        <v>128.12</v>
      </c>
      <c r="E16">
        <f t="shared" si="2"/>
        <v>685.44</v>
      </c>
      <c r="G16" s="5">
        <f t="shared" si="3"/>
        <v>813.56</v>
      </c>
    </row>
    <row r="17" ht="26" customHeight="1" spans="3:7">
      <c r="C17" t="s">
        <v>74</v>
      </c>
      <c r="D17">
        <v>0</v>
      </c>
      <c r="E17">
        <v>0</v>
      </c>
      <c r="G17" s="5">
        <f t="shared" si="3"/>
        <v>0</v>
      </c>
    </row>
    <row r="18" ht="26" customHeight="1" spans="4:7">
      <c r="D18" t="s">
        <v>75</v>
      </c>
      <c r="E18" t="s">
        <v>76</v>
      </c>
      <c r="F18" t="s">
        <v>77</v>
      </c>
      <c r="G18" s="5"/>
    </row>
    <row r="19" ht="26" customHeight="1" spans="3:7">
      <c r="C19" t="s">
        <v>78</v>
      </c>
      <c r="D19">
        <v>194.88</v>
      </c>
      <c r="E19">
        <f>118.33+13.21+63.34</f>
        <v>194.88</v>
      </c>
      <c r="F19">
        <f>0+73.13</f>
        <v>73.13</v>
      </c>
      <c r="G19" s="5">
        <f>E19+F19+D19</f>
        <v>462.89</v>
      </c>
    </row>
    <row r="20" ht="37" customHeight="1" spans="2:7">
      <c r="B20" s="4" t="s">
        <v>79</v>
      </c>
      <c r="C20" s="4"/>
      <c r="D20" s="4"/>
      <c r="E20" s="4"/>
      <c r="F20" s="4"/>
      <c r="G20">
        <f>G5+G7+G9+G11+G12+G13+G14+G15+G16+G17+G19+G10</f>
        <v>14621.55</v>
      </c>
    </row>
  </sheetData>
  <mergeCells count="1">
    <mergeCell ref="B20:F20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P11"/>
  <sheetViews>
    <sheetView workbookViewId="0">
      <selection activeCell="P11" sqref="P11"/>
    </sheetView>
  </sheetViews>
  <sheetFormatPr defaultColWidth="8.66666666666667" defaultRowHeight="14.25"/>
  <cols>
    <col min="16" max="16" width="9.41666666666667"/>
  </cols>
  <sheetData>
    <row r="11" spans="16:16">
      <c r="P11">
        <f>48861.71</f>
        <v>48861.71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17"/>
  <sheetViews>
    <sheetView workbookViewId="0">
      <selection activeCell="D19" sqref="D19"/>
    </sheetView>
  </sheetViews>
  <sheetFormatPr defaultColWidth="8.66666666666667" defaultRowHeight="14.25"/>
  <cols>
    <col min="4" max="4" width="17" customWidth="1"/>
    <col min="5" max="5" width="17.5" customWidth="1"/>
    <col min="6" max="6" width="16.9166666666667" customWidth="1"/>
    <col min="7" max="7" width="12.9166666666667" customWidth="1"/>
    <col min="8" max="8" width="45.3333333333333" customWidth="1"/>
    <col min="9" max="10" width="12.6666666666667" customWidth="1"/>
    <col min="11" max="11" width="10.5"/>
  </cols>
  <sheetData>
    <row r="1" spans="1:1">
      <c r="A1" t="s">
        <v>57</v>
      </c>
    </row>
    <row r="3" ht="45" customHeight="1" spans="8:8">
      <c r="H3" s="1" t="s">
        <v>80</v>
      </c>
    </row>
    <row r="4" spans="3:11">
      <c r="C4" t="s">
        <v>81</v>
      </c>
      <c r="D4" t="s">
        <v>82</v>
      </c>
      <c r="E4" t="s">
        <v>83</v>
      </c>
      <c r="F4" t="s">
        <v>84</v>
      </c>
      <c r="G4" t="s">
        <v>47</v>
      </c>
      <c r="H4" t="s">
        <v>85</v>
      </c>
      <c r="I4" t="s">
        <v>86</v>
      </c>
      <c r="J4" t="s">
        <v>87</v>
      </c>
      <c r="K4" t="s">
        <v>59</v>
      </c>
    </row>
    <row r="5" spans="2:11">
      <c r="B5" s="2" t="s">
        <v>60</v>
      </c>
      <c r="C5" s="2">
        <f>81*1.1*2.3*0</f>
        <v>0</v>
      </c>
      <c r="E5">
        <v>18.9</v>
      </c>
      <c r="F5">
        <v>1153.58</v>
      </c>
      <c r="G5">
        <v>359.41</v>
      </c>
      <c r="H5">
        <v>79.38</v>
      </c>
      <c r="I5">
        <v>10.92</v>
      </c>
      <c r="J5">
        <f>413.02-G5</f>
        <v>53.61</v>
      </c>
      <c r="K5">
        <f>SUM(C5:J5)</f>
        <v>1675.8</v>
      </c>
    </row>
    <row r="6" spans="2:11">
      <c r="B6" s="2" t="s">
        <v>63</v>
      </c>
      <c r="C6" s="2">
        <f>138*1.1*2.3*0</f>
        <v>0</v>
      </c>
      <c r="E6">
        <v>32.2</v>
      </c>
      <c r="F6">
        <v>2251.61</v>
      </c>
      <c r="G6">
        <v>578.07</v>
      </c>
      <c r="H6">
        <v>135.24</v>
      </c>
      <c r="I6">
        <v>26.64</v>
      </c>
      <c r="J6">
        <f>685.22-G6</f>
        <v>107.15</v>
      </c>
      <c r="K6">
        <f t="shared" ref="K6:K16" si="0">SUM(C6:J6)</f>
        <v>3130.91</v>
      </c>
    </row>
    <row r="7" spans="2:11">
      <c r="B7" s="2" t="s">
        <v>66</v>
      </c>
      <c r="C7" s="2">
        <f>32*1.3*2.3*0</f>
        <v>0</v>
      </c>
      <c r="F7">
        <v>1012.45</v>
      </c>
      <c r="G7">
        <v>116.46</v>
      </c>
      <c r="I7">
        <v>14.56</v>
      </c>
      <c r="J7">
        <v>114.405</v>
      </c>
      <c r="K7">
        <f t="shared" si="0"/>
        <v>1257.875</v>
      </c>
    </row>
    <row r="8" spans="2:11">
      <c r="B8" s="2" t="s">
        <v>67</v>
      </c>
      <c r="C8" s="2">
        <f>16*1.3*2.3*0</f>
        <v>0</v>
      </c>
      <c r="F8">
        <v>518.64</v>
      </c>
      <c r="G8">
        <v>57.58</v>
      </c>
      <c r="I8">
        <v>7.28</v>
      </c>
      <c r="J8">
        <v>50.705</v>
      </c>
      <c r="K8">
        <f t="shared" si="0"/>
        <v>634.205</v>
      </c>
    </row>
    <row r="9" spans="2:11">
      <c r="B9" s="3" t="s">
        <v>68</v>
      </c>
      <c r="C9" s="2">
        <f>32*1.3*2.3*0</f>
        <v>0</v>
      </c>
      <c r="E9">
        <v>7.87</v>
      </c>
      <c r="F9">
        <v>989.63</v>
      </c>
      <c r="G9">
        <v>124.85</v>
      </c>
      <c r="I9">
        <v>21.83</v>
      </c>
      <c r="J9">
        <v>114.405</v>
      </c>
      <c r="K9">
        <f t="shared" si="0"/>
        <v>1258.585</v>
      </c>
    </row>
    <row r="10" spans="2:11">
      <c r="B10" s="2" t="s">
        <v>69</v>
      </c>
      <c r="C10" s="2">
        <f>32*1.3*2.3*2*0</f>
        <v>0</v>
      </c>
      <c r="F10">
        <f>989.99*2</f>
        <v>1979.98</v>
      </c>
      <c r="G10">
        <f>100.77*2</f>
        <v>201.54</v>
      </c>
      <c r="I10">
        <f>21.83*2</f>
        <v>43.66</v>
      </c>
      <c r="J10">
        <f>114.33*2</f>
        <v>228.66</v>
      </c>
      <c r="K10">
        <f t="shared" si="0"/>
        <v>2453.84</v>
      </c>
    </row>
    <row r="11" spans="2:11">
      <c r="B11" s="2" t="s">
        <v>70</v>
      </c>
      <c r="C11" s="2">
        <f>32*1.3*2.3*2*0</f>
        <v>0</v>
      </c>
      <c r="F11">
        <f>991.18*2</f>
        <v>1982.36</v>
      </c>
      <c r="G11">
        <f>147.13*2</f>
        <v>294.26</v>
      </c>
      <c r="I11">
        <f>21.83*2</f>
        <v>43.66</v>
      </c>
      <c r="J11">
        <f>133.4*2</f>
        <v>266.8</v>
      </c>
      <c r="K11">
        <f t="shared" si="0"/>
        <v>2587.08</v>
      </c>
    </row>
    <row r="12" spans="2:11">
      <c r="B12" s="2" t="s">
        <v>71</v>
      </c>
      <c r="C12" s="2">
        <f>32*1.3*2.3*0</f>
        <v>0</v>
      </c>
      <c r="E12">
        <v>52.31</v>
      </c>
      <c r="F12">
        <v>989.99</v>
      </c>
      <c r="G12">
        <v>111.95</v>
      </c>
      <c r="I12">
        <f>21.83</f>
        <v>21.83</v>
      </c>
      <c r="J12">
        <v>114.405</v>
      </c>
      <c r="K12">
        <f t="shared" si="0"/>
        <v>1290.485</v>
      </c>
    </row>
    <row r="13" spans="2:11">
      <c r="B13" s="2" t="s">
        <v>72</v>
      </c>
      <c r="C13" s="2">
        <f>32*1.3*2.3*0</f>
        <v>0</v>
      </c>
      <c r="E13">
        <v>46.3</v>
      </c>
      <c r="F13">
        <v>987.29</v>
      </c>
      <c r="G13">
        <v>97.13</v>
      </c>
      <c r="I13">
        <v>21.83</v>
      </c>
      <c r="J13">
        <v>114.405</v>
      </c>
      <c r="K13">
        <f t="shared" si="0"/>
        <v>1266.955</v>
      </c>
    </row>
    <row r="14" spans="2:11">
      <c r="B14" s="2" t="s">
        <v>73</v>
      </c>
      <c r="C14" s="2">
        <f>32*1.3*2.3*0</f>
        <v>0</v>
      </c>
      <c r="E14">
        <v>52.31</v>
      </c>
      <c r="F14">
        <v>987.29</v>
      </c>
      <c r="G14">
        <v>100.97</v>
      </c>
      <c r="J14">
        <v>114.33</v>
      </c>
      <c r="K14">
        <f t="shared" si="0"/>
        <v>1254.9</v>
      </c>
    </row>
    <row r="15" spans="2:11">
      <c r="B15" s="2" t="s">
        <v>74</v>
      </c>
      <c r="C15" s="2"/>
      <c r="K15">
        <f t="shared" si="0"/>
        <v>0</v>
      </c>
    </row>
    <row r="16" spans="2:11">
      <c r="B16" s="2" t="s">
        <v>78</v>
      </c>
      <c r="C16" s="2"/>
      <c r="G16">
        <f>0.64+2.08</f>
        <v>2.72</v>
      </c>
      <c r="K16">
        <f t="shared" si="0"/>
        <v>2.72</v>
      </c>
    </row>
    <row r="17" spans="2:11">
      <c r="B17" s="4" t="s">
        <v>79</v>
      </c>
      <c r="C17" s="4"/>
      <c r="D17" s="4"/>
      <c r="E17" s="4"/>
      <c r="F17" s="4"/>
      <c r="G17" s="4"/>
      <c r="H17" s="4"/>
      <c r="I17" s="4"/>
      <c r="J17" s="4"/>
      <c r="K17">
        <f>SUM(K5:K16)</f>
        <v>16813.355</v>
      </c>
    </row>
  </sheetData>
  <mergeCells count="1">
    <mergeCell ref="B17:I1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I12:L19"/>
  <sheetViews>
    <sheetView workbookViewId="0">
      <selection activeCell="L26" sqref="L26"/>
    </sheetView>
  </sheetViews>
  <sheetFormatPr defaultColWidth="8.66666666666667" defaultRowHeight="14.25"/>
  <cols>
    <col min="11" max="11" width="10.5"/>
    <col min="12" max="12" width="37.3333333333333" customWidth="1"/>
  </cols>
  <sheetData>
    <row r="12" ht="55" customHeight="1" spans="12:12">
      <c r="L12" s="1" t="s">
        <v>88</v>
      </c>
    </row>
    <row r="14" spans="10:11">
      <c r="J14" t="s">
        <v>89</v>
      </c>
      <c r="K14" t="s">
        <v>90</v>
      </c>
    </row>
    <row r="15" spans="9:11">
      <c r="I15" t="s">
        <v>91</v>
      </c>
      <c r="J15">
        <v>4988.78</v>
      </c>
      <c r="K15">
        <f>14477.43-J15</f>
        <v>9488.65</v>
      </c>
    </row>
    <row r="16" spans="9:11">
      <c r="I16" t="s">
        <v>92</v>
      </c>
      <c r="K16">
        <v>10450.541</v>
      </c>
    </row>
    <row r="19" spans="11:11">
      <c r="K19">
        <f>J15+K15+K16+K17</f>
        <v>24927.971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招标清单</vt:lpstr>
      <vt:lpstr>公区部位等</vt:lpstr>
      <vt:lpstr>地下车库</vt:lpstr>
      <vt:lpstr>外立面</vt:lpstr>
      <vt:lpstr>室外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刘帅帅</dc:creator>
  <cp:lastModifiedBy>仰望星空</cp:lastModifiedBy>
  <dcterms:created xsi:type="dcterms:W3CDTF">2015-06-05T18:19:00Z</dcterms:created>
  <dcterms:modified xsi:type="dcterms:W3CDTF">2024-07-22T09:05:04Z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1B9CBF069A25426582579F1DE4135EE3_13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